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05" windowHeight="5835" activeTab="0"/>
  </bookViews>
  <sheets>
    <sheet name="riparto" sheetId="1" r:id="rId1"/>
    <sheet name="minuti 2020" sheetId="2" r:id="rId2"/>
  </sheets>
  <definedNames>
    <definedName name="_xlnm.Print_Area" localSheetId="1">'minuti 2020'!$A$1:$G$25</definedName>
    <definedName name="_xlnm.Print_Area" localSheetId="0">'riparto'!$A$1:$G$109</definedName>
  </definedNames>
  <calcPr fullCalcOnLoad="1"/>
</workbook>
</file>

<file path=xl/sharedStrings.xml><?xml version="1.0" encoding="utf-8"?>
<sst xmlns="http://schemas.openxmlformats.org/spreadsheetml/2006/main" count="126" uniqueCount="109">
  <si>
    <t>DESCRIZIONE</t>
  </si>
  <si>
    <t>TOTALE</t>
  </si>
  <si>
    <t>QUOTA</t>
  </si>
  <si>
    <t>SEREGNO</t>
  </si>
  <si>
    <t>GIUSSANO</t>
  </si>
  <si>
    <t>NOTE</t>
  </si>
  <si>
    <t>QUOTA SEREGNO:</t>
  </si>
  <si>
    <t>QUOTA GIUSSANO:</t>
  </si>
  <si>
    <t>GIUSSANO:</t>
  </si>
  <si>
    <t>Riparto in base all'utenza</t>
  </si>
  <si>
    <t xml:space="preserve"> </t>
  </si>
  <si>
    <t>RIPARTIZIONE PER N. UTENTI **:</t>
  </si>
  <si>
    <t xml:space="preserve">Seregno:  </t>
  </si>
  <si>
    <t>Seregno</t>
  </si>
  <si>
    <t>Giussano</t>
  </si>
  <si>
    <t>Minuti settimanali dovuti per l'utenza C.D.D. calcolati in base alle classi SIDI</t>
  </si>
  <si>
    <t>gennaio</t>
  </si>
  <si>
    <t>febbraio</t>
  </si>
  <si>
    <t>marzo</t>
  </si>
  <si>
    <t>aprile</t>
  </si>
  <si>
    <t>maggio</t>
  </si>
  <si>
    <t>giugno</t>
  </si>
  <si>
    <t>luglio</t>
  </si>
  <si>
    <t>settembre</t>
  </si>
  <si>
    <t>ottobre</t>
  </si>
  <si>
    <t>novembre</t>
  </si>
  <si>
    <t>dicembre</t>
  </si>
  <si>
    <t>MEDIA</t>
  </si>
  <si>
    <t>Educatori</t>
  </si>
  <si>
    <t>ASA</t>
  </si>
  <si>
    <t>Minutaggio complessivo settimanale</t>
  </si>
  <si>
    <t>Coefficiente di riparto</t>
  </si>
  <si>
    <t xml:space="preserve">CONTRIBUTO SANITARIO REGIONALE </t>
  </si>
  <si>
    <t xml:space="preserve">Ripartito in base a quanto effettivamente erogato dalla Regione </t>
  </si>
  <si>
    <t xml:space="preserve">per singolo utente in base ai giorni di presenza e alla classe SIDI </t>
  </si>
  <si>
    <t>di appartenenza - prospetti presenti agli atti -</t>
  </si>
  <si>
    <t xml:space="preserve">SEREGNO: </t>
  </si>
  <si>
    <t>Spesa personale</t>
  </si>
  <si>
    <t>Riparto in base al minutaggio</t>
  </si>
  <si>
    <t>medio settimanale</t>
  </si>
  <si>
    <t>Pasti utenti</t>
  </si>
  <si>
    <t>RIPARTIZIONE SPESE VITTO UTENTI:</t>
  </si>
  <si>
    <t>CL1</t>
  </si>
  <si>
    <t>CL2</t>
  </si>
  <si>
    <t>CL3</t>
  </si>
  <si>
    <t>1300 MIN A SETT</t>
  </si>
  <si>
    <t>1100 MIN A SETT</t>
  </si>
  <si>
    <t>900 MIN A SETT</t>
  </si>
  <si>
    <t>Giussano:</t>
  </si>
  <si>
    <t xml:space="preserve">ONERI RIFLESSI </t>
  </si>
  <si>
    <t>ammortamento da parametrare in base ai gg. di effettiva apertura</t>
  </si>
  <si>
    <t>Allegato b)</t>
  </si>
  <si>
    <t>Spesa personale educativo/assistenziale</t>
  </si>
  <si>
    <t>RIPARTIZIONE SPESE PERSONALE EDUCATIVO/ASSISTENZIALE</t>
  </si>
  <si>
    <t xml:space="preserve">Differenza       ** </t>
  </si>
  <si>
    <t>da Convenzione n. 235 giorni annuali di apertura</t>
  </si>
  <si>
    <t>AMMORTAMENTO TOTALE</t>
  </si>
  <si>
    <t>Differenza a carico del Comune di Seregno</t>
  </si>
  <si>
    <t>della convenzione)</t>
  </si>
  <si>
    <r>
      <t xml:space="preserve">NOTA :   </t>
    </r>
    <r>
      <rPr>
        <sz val="10"/>
        <rFont val="Verdana"/>
        <family val="2"/>
      </rPr>
      <t xml:space="preserve">Tutti i costi non indicati con una specifica nel presente conteggio di riparto sono già compresi nella </t>
    </r>
  </si>
  <si>
    <t>(1% del totale speso  ai sensi</t>
  </si>
  <si>
    <t>Albiate</t>
  </si>
  <si>
    <t xml:space="preserve"> 8 utenti per n. 11 mesi</t>
  </si>
  <si>
    <t>totale               8,00</t>
  </si>
  <si>
    <t>ALBIATE</t>
  </si>
  <si>
    <t>ALBIATE:</t>
  </si>
  <si>
    <t>QUOTA ALBIATE:</t>
  </si>
  <si>
    <t>Ammortamento</t>
  </si>
  <si>
    <t xml:space="preserve">DIFFERENZA </t>
  </si>
  <si>
    <t xml:space="preserve">Spese da Rendicontazione struttura al netto*    </t>
  </si>
  <si>
    <t xml:space="preserve"> 1 utente per n. 11 mesi</t>
  </si>
  <si>
    <t>totale               1,00</t>
  </si>
  <si>
    <t>voce complessiva iniziale "Spese Rendicontazione Struttura"  e già, quindi, ripartiti nel conteggio generale</t>
  </si>
  <si>
    <t>educativo / assistenziale CDD - 2020</t>
  </si>
  <si>
    <t>ACCONTI VERSATI Bilancio 2020</t>
  </si>
  <si>
    <t>TOTALE RIPARTO COSTI GESTIONE CDD 2020</t>
  </si>
  <si>
    <t>costo pasto € 4,67</t>
  </si>
  <si>
    <t xml:space="preserve">    n. pasti 662 x € 4,67  =</t>
  </si>
  <si>
    <t xml:space="preserve">    n. pasti 301 x € 4,67  =</t>
  </si>
  <si>
    <t xml:space="preserve">    n. pasti 37 x € 4,67 =</t>
  </si>
  <si>
    <t xml:space="preserve"> 21 utenti per n. 11 mesi</t>
  </si>
  <si>
    <t>totale         21,00</t>
  </si>
  <si>
    <t>Totale utenti     30,00</t>
  </si>
  <si>
    <t>€ 302.093,00 / 32.400 minuti assist. medi settimanali</t>
  </si>
  <si>
    <t>SEREGNO:   9,32385803  x  22.500</t>
  </si>
  <si>
    <t>GIUSSANO: 9,32385803  x  8.800</t>
  </si>
  <si>
    <t>ALBIATE: 9,32385803  x  1.100</t>
  </si>
  <si>
    <t>€ 79.031,00 /365 x 235 =</t>
  </si>
  <si>
    <t>€ 50.882,97 / 30,00 x 8,00</t>
  </si>
  <si>
    <t>€ 50.882,97 / 30,00 x 21,00</t>
  </si>
  <si>
    <t>€ 50.882,97 / 30,00 x 1,00</t>
  </si>
  <si>
    <t>costo generale CDD             €.  548.611,00</t>
  </si>
  <si>
    <t>trasporto casa - CDD           €.    26.559,26</t>
  </si>
  <si>
    <t>contributo FRS                     €       7.609,00</t>
  </si>
  <si>
    <t>100% costo mezzi                   €       6.561,51</t>
  </si>
  <si>
    <t>Gennaio/Dicembre      n. 30,00 utenti</t>
  </si>
  <si>
    <t xml:space="preserve">122.087,23 / 30,00 = </t>
  </si>
  <si>
    <t xml:space="preserve">4.069,57 x 21,00 ut. =  </t>
  </si>
  <si>
    <t xml:space="preserve">4.069,57 x 8,00 ut. =  </t>
  </si>
  <si>
    <t xml:space="preserve">4.069,57 x 1,00 ut. =  </t>
  </si>
  <si>
    <t>€  507.881,23  x 1% =</t>
  </si>
  <si>
    <t>Seregno € 5.078,81/ 30,00 x 21 =</t>
  </si>
  <si>
    <t>Giussano € 5.078,81 / 30,00 x 8 =</t>
  </si>
  <si>
    <t>Albiate  € 5.078,81 / 30,00 x 1 =</t>
  </si>
  <si>
    <t>dedotto contributo FRS</t>
  </si>
  <si>
    <t>dedotto trasporto casa / centro Giussano</t>
  </si>
  <si>
    <t>dedotto 100% costo automezzi Seregno</t>
  </si>
  <si>
    <t>n. media utenti così calcolato:</t>
  </si>
  <si>
    <t>( assic. - manutenzione - benzina )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</si>
</sst>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_-[$€-2]\ * #,##0.00_-;\-[$€-2]\ * #,##0.00_-;_-[$€-2]\ * &quot;-&quot;??_-"/>
    <numFmt numFmtId="182" formatCode="_-[$€-2]\ * #,##0.00_-;\-[$€-2]\ * #,##0.00_-;_-[$€-2]\ * &quot;-&quot;??_-;_-@_-"/>
    <numFmt numFmtId="183" formatCode="[$€-2]\ #,##0.00;[Red]\-[$€-2]\ #,##0.00"/>
    <numFmt numFmtId="184" formatCode="_-* #,##0.0_-;\-* #,##0.0_-;_-* &quot;-&quot;_-;_-@_-"/>
    <numFmt numFmtId="185" formatCode="_-* #,##0.00_-;\-* #,##0.00_-;_-* &quot;-&quot;_-;_-@_-"/>
    <numFmt numFmtId="186" formatCode="_-* #,##0.0_-;\-* #,##0.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_-* #,##0.0000000_-;\-* #,##0.0000000_-;_-* &quot;-&quot;??_-;_-@_-"/>
    <numFmt numFmtId="192" formatCode="_-* #,##0.00000000_-;\-* #,##0.00000000_-;_-* &quot;-&quot;??_-;_-@_-"/>
    <numFmt numFmtId="193" formatCode="_-* #,##0.000000000_-;\-* #,##0.000000000_-;_-* &quot;-&quot;??_-;_-@_-"/>
    <numFmt numFmtId="194" formatCode="_-* #,##0.000000000_-;\-* #,##0.000000000_-;_-* &quot;-&quot;?????????_-;_-@_-"/>
    <numFmt numFmtId="195" formatCode="_-[$€-410]\ * #,##0.00_-;\-[$€-410]\ * #,##0.00_-;_-[$€-410]\ * &quot;-&quot;??_-;_-@_-"/>
    <numFmt numFmtId="196" formatCode="_-* #,##0.0000000000_-;\-* #,##0.0000000000_-;_-* &quot;-&quot;??_-;_-@_-"/>
    <numFmt numFmtId="197" formatCode="_-* #,##0.00000000_-;\-* #,##0.00000000_-;_-* &quot;-&quot;????????_-;_-@_-"/>
    <numFmt numFmtId="198" formatCode="0.000000"/>
    <numFmt numFmtId="199" formatCode="0.0000000"/>
    <numFmt numFmtId="200" formatCode="0.00000000"/>
    <numFmt numFmtId="201" formatCode="0.000000000"/>
    <numFmt numFmtId="202" formatCode="_-[$€-2]\ * #,##0.000_-;\-[$€-2]\ * #,##0.000_-;_-[$€-2]\ * &quot;-&quot;??_-"/>
    <numFmt numFmtId="203" formatCode="0.0000000000"/>
    <numFmt numFmtId="204" formatCode="0.00000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81" fontId="0" fillId="0" borderId="0" applyFont="0" applyFill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81" fontId="3" fillId="0" borderId="13" xfId="44" applyFont="1" applyBorder="1" applyAlignment="1">
      <alignment/>
    </xf>
    <xf numFmtId="181" fontId="3" fillId="0" borderId="14" xfId="44" applyFont="1" applyBorder="1" applyAlignment="1">
      <alignment/>
    </xf>
    <xf numFmtId="0" fontId="4" fillId="0" borderId="0" xfId="0" applyFont="1" applyAlignment="1">
      <alignment/>
    </xf>
    <xf numFmtId="169" fontId="3" fillId="0" borderId="0" xfId="0" applyNumberFormat="1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2" xfId="0" applyFont="1" applyBorder="1" applyAlignment="1">
      <alignment/>
    </xf>
    <xf numFmtId="181" fontId="43" fillId="0" borderId="18" xfId="44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9" xfId="0" applyFont="1" applyBorder="1" applyAlignment="1">
      <alignment/>
    </xf>
    <xf numFmtId="181" fontId="43" fillId="0" borderId="0" xfId="44" applyFont="1" applyBorder="1" applyAlignment="1">
      <alignment/>
    </xf>
    <xf numFmtId="0" fontId="43" fillId="0" borderId="11" xfId="0" applyFont="1" applyBorder="1" applyAlignment="1">
      <alignment/>
    </xf>
    <xf numFmtId="181" fontId="43" fillId="0" borderId="14" xfId="44" applyFont="1" applyBorder="1" applyAlignment="1">
      <alignment/>
    </xf>
    <xf numFmtId="181" fontId="43" fillId="0" borderId="20" xfId="44" applyFont="1" applyBorder="1" applyAlignment="1">
      <alignment/>
    </xf>
    <xf numFmtId="0" fontId="43" fillId="0" borderId="21" xfId="0" applyFont="1" applyBorder="1" applyAlignment="1">
      <alignment/>
    </xf>
    <xf numFmtId="0" fontId="3" fillId="0" borderId="0" xfId="0" applyFont="1" applyBorder="1" applyAlignment="1">
      <alignment/>
    </xf>
    <xf numFmtId="181" fontId="4" fillId="0" borderId="13" xfId="44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1" xfId="0" applyFont="1" applyBorder="1" applyAlignment="1">
      <alignment/>
    </xf>
    <xf numFmtId="185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12" borderId="15" xfId="0" applyFont="1" applyFill="1" applyBorder="1" applyAlignment="1">
      <alignment/>
    </xf>
    <xf numFmtId="195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" fillId="0" borderId="10" xfId="0" applyFont="1" applyBorder="1" applyAlignment="1">
      <alignment/>
    </xf>
    <xf numFmtId="185" fontId="4" fillId="33" borderId="15" xfId="0" applyNumberFormat="1" applyFont="1" applyFill="1" applyBorder="1" applyAlignment="1">
      <alignment/>
    </xf>
    <xf numFmtId="185" fontId="4" fillId="34" borderId="23" xfId="0" applyNumberFormat="1" applyFont="1" applyFill="1" applyBorder="1" applyAlignment="1">
      <alignment/>
    </xf>
    <xf numFmtId="195" fontId="3" fillId="0" borderId="18" xfId="0" applyNumberFormat="1" applyFont="1" applyBorder="1" applyAlignment="1">
      <alignment/>
    </xf>
    <xf numFmtId="0" fontId="43" fillId="0" borderId="18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3" xfId="0" applyFont="1" applyBorder="1" applyAlignment="1">
      <alignment/>
    </xf>
    <xf numFmtId="0" fontId="43" fillId="0" borderId="10" xfId="0" applyFont="1" applyBorder="1" applyAlignment="1">
      <alignment vertical="center"/>
    </xf>
    <xf numFmtId="181" fontId="3" fillId="0" borderId="18" xfId="44" applyFont="1" applyBorder="1" applyAlignment="1">
      <alignment/>
    </xf>
    <xf numFmtId="181" fontId="3" fillId="0" borderId="10" xfId="44" applyFont="1" applyBorder="1" applyAlignment="1">
      <alignment/>
    </xf>
    <xf numFmtId="201" fontId="4" fillId="37" borderId="24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21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3" fillId="0" borderId="13" xfId="0" applyFont="1" applyBorder="1" applyAlignment="1">
      <alignment horizontal="right"/>
    </xf>
    <xf numFmtId="0" fontId="44" fillId="0" borderId="0" xfId="0" applyFont="1" applyAlignment="1">
      <alignment/>
    </xf>
    <xf numFmtId="182" fontId="43" fillId="0" borderId="0" xfId="0" applyNumberFormat="1" applyFont="1" applyBorder="1" applyAlignment="1">
      <alignment/>
    </xf>
    <xf numFmtId="181" fontId="43" fillId="13" borderId="23" xfId="44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181" fontId="44" fillId="0" borderId="25" xfId="44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14" xfId="0" applyFont="1" applyBorder="1" applyAlignment="1">
      <alignment/>
    </xf>
    <xf numFmtId="195" fontId="44" fillId="0" borderId="0" xfId="0" applyNumberFormat="1" applyFont="1" applyAlignment="1">
      <alignment/>
    </xf>
    <xf numFmtId="181" fontId="43" fillId="0" borderId="0" xfId="44" applyFont="1" applyAlignment="1">
      <alignment/>
    </xf>
    <xf numFmtId="0" fontId="3" fillId="0" borderId="21" xfId="0" applyFont="1" applyBorder="1" applyAlignment="1">
      <alignment/>
    </xf>
    <xf numFmtId="0" fontId="3" fillId="0" borderId="26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4" fillId="0" borderId="19" xfId="0" applyFont="1" applyBorder="1" applyAlignment="1">
      <alignment/>
    </xf>
    <xf numFmtId="181" fontId="3" fillId="0" borderId="22" xfId="44" applyFont="1" applyBorder="1" applyAlignment="1">
      <alignment/>
    </xf>
    <xf numFmtId="181" fontId="3" fillId="0" borderId="25" xfId="44" applyFont="1" applyBorder="1" applyAlignment="1">
      <alignment/>
    </xf>
    <xf numFmtId="0" fontId="3" fillId="0" borderId="25" xfId="0" applyFont="1" applyBorder="1" applyAlignment="1">
      <alignment/>
    </xf>
    <xf numFmtId="0" fontId="44" fillId="0" borderId="14" xfId="0" applyFont="1" applyBorder="1" applyAlignment="1">
      <alignment/>
    </xf>
    <xf numFmtId="181" fontId="3" fillId="0" borderId="13" xfId="0" applyNumberFormat="1" applyFont="1" applyBorder="1" applyAlignment="1">
      <alignment/>
    </xf>
    <xf numFmtId="182" fontId="43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13" borderId="16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181" fontId="44" fillId="0" borderId="0" xfId="44" applyFont="1" applyBorder="1" applyAlignment="1">
      <alignment/>
    </xf>
    <xf numFmtId="181" fontId="43" fillId="0" borderId="10" xfId="44" applyFont="1" applyBorder="1" applyAlignment="1">
      <alignment/>
    </xf>
    <xf numFmtId="181" fontId="43" fillId="0" borderId="13" xfId="44" applyFont="1" applyBorder="1" applyAlignment="1">
      <alignment/>
    </xf>
    <xf numFmtId="181" fontId="44" fillId="0" borderId="13" xfId="44" applyFont="1" applyBorder="1" applyAlignment="1">
      <alignment/>
    </xf>
    <xf numFmtId="195" fontId="43" fillId="0" borderId="18" xfId="0" applyNumberFormat="1" applyFont="1" applyBorder="1" applyAlignment="1">
      <alignment/>
    </xf>
    <xf numFmtId="181" fontId="44" fillId="0" borderId="11" xfId="0" applyNumberFormat="1" applyFont="1" applyBorder="1" applyAlignment="1">
      <alignment/>
    </xf>
    <xf numFmtId="181" fontId="44" fillId="0" borderId="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81" fontId="4" fillId="0" borderId="18" xfId="44" applyFont="1" applyBorder="1" applyAlignment="1">
      <alignment/>
    </xf>
    <xf numFmtId="0" fontId="4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81" fontId="3" fillId="0" borderId="11" xfId="44" applyFont="1" applyBorder="1" applyAlignment="1">
      <alignment/>
    </xf>
    <xf numFmtId="0" fontId="3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81" fontId="4" fillId="13" borderId="17" xfId="0" applyNumberFormat="1" applyFont="1" applyFill="1" applyBorder="1" applyAlignment="1">
      <alignment vertical="center"/>
    </xf>
    <xf numFmtId="181" fontId="4" fillId="13" borderId="15" xfId="0" applyNumberFormat="1" applyFont="1" applyFill="1" applyBorder="1" applyAlignment="1">
      <alignment vertical="center"/>
    </xf>
    <xf numFmtId="181" fontId="3" fillId="0" borderId="14" xfId="0" applyNumberFormat="1" applyFont="1" applyBorder="1" applyAlignment="1">
      <alignment/>
    </xf>
    <xf numFmtId="17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95" fontId="4" fillId="0" borderId="18" xfId="0" applyNumberFormat="1" applyFont="1" applyBorder="1" applyAlignment="1">
      <alignment/>
    </xf>
    <xf numFmtId="181" fontId="43" fillId="0" borderId="10" xfId="44" applyFont="1" applyBorder="1" applyAlignment="1">
      <alignment horizontal="right"/>
    </xf>
    <xf numFmtId="181" fontId="44" fillId="0" borderId="21" xfId="44" applyFont="1" applyBorder="1" applyAlignment="1">
      <alignment/>
    </xf>
    <xf numFmtId="181" fontId="43" fillId="0" borderId="21" xfId="0" applyNumberFormat="1" applyFont="1" applyBorder="1" applyAlignment="1">
      <alignment/>
    </xf>
    <xf numFmtId="181" fontId="44" fillId="0" borderId="10" xfId="44" applyFont="1" applyBorder="1" applyAlignment="1">
      <alignment/>
    </xf>
    <xf numFmtId="181" fontId="43" fillId="0" borderId="10" xfId="0" applyNumberFormat="1" applyFont="1" applyBorder="1" applyAlignment="1">
      <alignment/>
    </xf>
    <xf numFmtId="169" fontId="43" fillId="0" borderId="15" xfId="0" applyNumberFormat="1" applyFont="1" applyBorder="1" applyAlignment="1">
      <alignment/>
    </xf>
    <xf numFmtId="195" fontId="44" fillId="0" borderId="18" xfId="0" applyNumberFormat="1" applyFont="1" applyBorder="1" applyAlignment="1">
      <alignment/>
    </xf>
    <xf numFmtId="181" fontId="43" fillId="0" borderId="13" xfId="0" applyNumberFormat="1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169" fontId="45" fillId="0" borderId="15" xfId="47" applyFont="1" applyFill="1" applyBorder="1" applyAlignment="1">
      <alignment/>
    </xf>
    <xf numFmtId="169" fontId="45" fillId="0" borderId="15" xfId="0" applyNumberFormat="1" applyFont="1" applyFill="1" applyBorder="1" applyAlignment="1">
      <alignment/>
    </xf>
    <xf numFmtId="169" fontId="45" fillId="0" borderId="15" xfId="47" applyFont="1" applyFill="1" applyBorder="1" applyAlignment="1">
      <alignment horizontal="center"/>
    </xf>
    <xf numFmtId="181" fontId="45" fillId="0" borderId="15" xfId="44" applyFont="1" applyFill="1" applyBorder="1" applyAlignment="1">
      <alignment/>
    </xf>
    <xf numFmtId="181" fontId="46" fillId="0" borderId="15" xfId="0" applyNumberFormat="1" applyFont="1" applyFill="1" applyBorder="1" applyAlignment="1">
      <alignment/>
    </xf>
    <xf numFmtId="181" fontId="46" fillId="0" borderId="15" xfId="44" applyNumberFormat="1" applyFont="1" applyFill="1" applyBorder="1" applyAlignment="1">
      <alignment/>
    </xf>
    <xf numFmtId="181" fontId="46" fillId="0" borderId="15" xfId="44" applyFont="1" applyFill="1" applyBorder="1" applyAlignment="1">
      <alignment/>
    </xf>
    <xf numFmtId="181" fontId="45" fillId="0" borderId="15" xfId="0" applyNumberFormat="1" applyFont="1" applyFill="1" applyBorder="1" applyAlignment="1">
      <alignment/>
    </xf>
    <xf numFmtId="0" fontId="45" fillId="0" borderId="15" xfId="0" applyFont="1" applyBorder="1" applyAlignment="1">
      <alignment/>
    </xf>
    <xf numFmtId="181" fontId="45" fillId="0" borderId="10" xfId="44" applyFont="1" applyBorder="1" applyAlignment="1">
      <alignment/>
    </xf>
    <xf numFmtId="192" fontId="45" fillId="0" borderId="18" xfId="44" applyNumberFormat="1" applyFont="1" applyBorder="1" applyAlignment="1">
      <alignment/>
    </xf>
    <xf numFmtId="181" fontId="45" fillId="0" borderId="18" xfId="44" applyFont="1" applyBorder="1" applyAlignment="1">
      <alignment/>
    </xf>
    <xf numFmtId="181" fontId="45" fillId="0" borderId="14" xfId="44" applyFont="1" applyBorder="1" applyAlignment="1">
      <alignment/>
    </xf>
    <xf numFmtId="181" fontId="46" fillId="0" borderId="13" xfId="44" applyFont="1" applyBorder="1" applyAlignment="1">
      <alignment/>
    </xf>
    <xf numFmtId="181" fontId="45" fillId="0" borderId="13" xfId="44" applyFont="1" applyBorder="1" applyAlignment="1">
      <alignment/>
    </xf>
    <xf numFmtId="182" fontId="45" fillId="0" borderId="0" xfId="0" applyNumberFormat="1" applyFont="1" applyBorder="1" applyAlignment="1">
      <alignment/>
    </xf>
    <xf numFmtId="195" fontId="46" fillId="0" borderId="13" xfId="44" applyNumberFormat="1" applyFont="1" applyBorder="1" applyAlignment="1">
      <alignment/>
    </xf>
    <xf numFmtId="181" fontId="45" fillId="0" borderId="13" xfId="0" applyNumberFormat="1" applyFont="1" applyBorder="1" applyAlignment="1">
      <alignment/>
    </xf>
    <xf numFmtId="181" fontId="45" fillId="0" borderId="10" xfId="0" applyNumberFormat="1" applyFont="1" applyBorder="1" applyAlignment="1">
      <alignment/>
    </xf>
    <xf numFmtId="181" fontId="45" fillId="0" borderId="10" xfId="44" applyFont="1" applyBorder="1" applyAlignment="1">
      <alignment horizontal="right"/>
    </xf>
    <xf numFmtId="181" fontId="46" fillId="0" borderId="15" xfId="44" applyFont="1" applyBorder="1" applyAlignment="1">
      <alignment horizontal="right"/>
    </xf>
    <xf numFmtId="195" fontId="46" fillId="0" borderId="10" xfId="44" applyNumberFormat="1" applyFont="1" applyBorder="1" applyAlignment="1">
      <alignment/>
    </xf>
    <xf numFmtId="181" fontId="45" fillId="0" borderId="0" xfId="44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181" fontId="45" fillId="0" borderId="0" xfId="44" applyFont="1" applyBorder="1" applyAlignment="1">
      <alignment vertical="top" wrapText="1"/>
    </xf>
    <xf numFmtId="181" fontId="45" fillId="0" borderId="13" xfId="44" applyFont="1" applyBorder="1" applyAlignment="1">
      <alignment vertical="top" wrapText="1"/>
    </xf>
    <xf numFmtId="181" fontId="45" fillId="0" borderId="11" xfId="44" applyFont="1" applyBorder="1" applyAlignment="1">
      <alignment vertical="top" wrapText="1"/>
    </xf>
    <xf numFmtId="181" fontId="3" fillId="0" borderId="10" xfId="44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zoomScaleSheetLayoutView="100" workbookViewId="0" topLeftCell="A1">
      <selection activeCell="D55" sqref="D55"/>
    </sheetView>
  </sheetViews>
  <sheetFormatPr defaultColWidth="9.140625" defaultRowHeight="12.75"/>
  <cols>
    <col min="1" max="1" width="45.140625" style="35" customWidth="1"/>
    <col min="2" max="2" width="27.7109375" style="35" customWidth="1"/>
    <col min="3" max="4" width="18.57421875" style="35" customWidth="1"/>
    <col min="5" max="5" width="18.7109375" style="35" bestFit="1" customWidth="1"/>
    <col min="6" max="6" width="18.7109375" style="35" customWidth="1"/>
    <col min="7" max="7" width="45.7109375" style="35" customWidth="1"/>
    <col min="8" max="16384" width="9.140625" style="35" customWidth="1"/>
  </cols>
  <sheetData>
    <row r="1" spans="1:7" ht="12.75">
      <c r="A1" s="140" t="s">
        <v>0</v>
      </c>
      <c r="B1" s="141"/>
      <c r="C1" s="142" t="s">
        <v>1</v>
      </c>
      <c r="D1" s="62" t="s">
        <v>2</v>
      </c>
      <c r="E1" s="63" t="s">
        <v>2</v>
      </c>
      <c r="F1" s="91" t="s">
        <v>2</v>
      </c>
      <c r="G1" s="64" t="s">
        <v>5</v>
      </c>
    </row>
    <row r="2" spans="1:7" ht="12.75">
      <c r="A2" s="144"/>
      <c r="B2" s="145"/>
      <c r="C2" s="143"/>
      <c r="D2" s="65" t="s">
        <v>3</v>
      </c>
      <c r="E2" s="66" t="s">
        <v>4</v>
      </c>
      <c r="F2" s="92" t="s">
        <v>64</v>
      </c>
      <c r="G2" s="67"/>
    </row>
    <row r="3" spans="1:7" ht="15" customHeight="1">
      <c r="A3" s="26"/>
      <c r="B3" s="17"/>
      <c r="C3" s="26"/>
      <c r="D3" s="26"/>
      <c r="E3" s="26"/>
      <c r="F3" s="26"/>
      <c r="G3" s="107" t="s">
        <v>106</v>
      </c>
    </row>
    <row r="4" spans="1:7" ht="12.75">
      <c r="A4" s="17"/>
      <c r="C4" s="17"/>
      <c r="D4" s="17"/>
      <c r="E4" s="17"/>
      <c r="F4" s="17"/>
      <c r="G4" s="108" t="s">
        <v>108</v>
      </c>
    </row>
    <row r="5" spans="1:7" ht="12.75">
      <c r="A5" s="2" t="s">
        <v>69</v>
      </c>
      <c r="B5" s="119">
        <f>G15</f>
        <v>507881.23</v>
      </c>
      <c r="C5" s="17"/>
      <c r="D5" s="17"/>
      <c r="E5" s="17"/>
      <c r="F5" s="17"/>
      <c r="G5" s="108" t="s">
        <v>105</v>
      </c>
    </row>
    <row r="6" spans="1:7" ht="12.75">
      <c r="A6" s="2"/>
      <c r="B6" s="17"/>
      <c r="C6" s="40"/>
      <c r="D6" s="17"/>
      <c r="E6" s="17"/>
      <c r="F6" s="17"/>
      <c r="G6" s="1" t="s">
        <v>104</v>
      </c>
    </row>
    <row r="7" spans="1:7" ht="12.75">
      <c r="A7" s="2" t="s">
        <v>40</v>
      </c>
      <c r="B7" s="45">
        <f>-B31</f>
        <v>-4670</v>
      </c>
      <c r="C7" s="40"/>
      <c r="D7" s="17"/>
      <c r="E7" s="17"/>
      <c r="F7" s="17"/>
      <c r="G7" s="108"/>
    </row>
    <row r="8" spans="1:7" ht="12.75">
      <c r="A8" s="2"/>
      <c r="B8" s="79"/>
      <c r="C8" s="40"/>
      <c r="D8" s="17"/>
      <c r="E8" s="17"/>
      <c r="F8" s="17"/>
      <c r="G8" s="17"/>
    </row>
    <row r="9" spans="1:7" ht="12.75">
      <c r="A9" s="2" t="s">
        <v>52</v>
      </c>
      <c r="B9" s="119">
        <v>-302093</v>
      </c>
      <c r="C9" s="17"/>
      <c r="D9" s="17"/>
      <c r="E9" s="17"/>
      <c r="F9" s="17"/>
      <c r="G9" s="129" t="s">
        <v>91</v>
      </c>
    </row>
    <row r="10" spans="1:7" ht="12.75">
      <c r="A10" s="2"/>
      <c r="B10" s="79"/>
      <c r="C10" s="17"/>
      <c r="D10" s="17"/>
      <c r="E10" s="17"/>
      <c r="F10" s="17"/>
      <c r="G10" s="99"/>
    </row>
    <row r="11" spans="1:7" ht="12.75">
      <c r="A11" s="2" t="s">
        <v>67</v>
      </c>
      <c r="B11" s="119">
        <v>-79031</v>
      </c>
      <c r="C11" s="17"/>
      <c r="D11" s="17"/>
      <c r="E11" s="17"/>
      <c r="F11" s="17"/>
      <c r="G11" s="99"/>
    </row>
    <row r="12" spans="1:7" ht="12.75">
      <c r="A12" s="2"/>
      <c r="B12" s="80"/>
      <c r="C12" s="17"/>
      <c r="D12" s="17"/>
      <c r="E12" s="17"/>
      <c r="F12" s="17"/>
      <c r="G12" s="139" t="s">
        <v>93</v>
      </c>
    </row>
    <row r="13" spans="1:7" ht="12.75">
      <c r="A13" s="2" t="s">
        <v>54</v>
      </c>
      <c r="B13" s="131">
        <f>B5+B7+B9+B11</f>
        <v>122087.22999999998</v>
      </c>
      <c r="C13" s="40"/>
      <c r="D13" s="17"/>
      <c r="E13" s="17"/>
      <c r="F13" s="17"/>
      <c r="G13" s="129" t="s">
        <v>94</v>
      </c>
    </row>
    <row r="14" spans="1:7" ht="12.75">
      <c r="A14" s="17"/>
      <c r="B14" s="19"/>
      <c r="C14" s="17"/>
      <c r="D14" s="17" t="s">
        <v>10</v>
      </c>
      <c r="E14" s="17"/>
      <c r="F14" s="17"/>
      <c r="G14" s="129" t="s">
        <v>92</v>
      </c>
    </row>
    <row r="15" spans="1:7" ht="12.75">
      <c r="A15" s="20"/>
      <c r="B15" s="20"/>
      <c r="C15" s="17"/>
      <c r="D15" s="20"/>
      <c r="E15" s="17"/>
      <c r="F15" s="20"/>
      <c r="G15" s="130">
        <f>548611-7609-6561.51-26559.26</f>
        <v>507881.23</v>
      </c>
    </row>
    <row r="16" spans="1:7" ht="12.75">
      <c r="A16" s="61" t="s">
        <v>11</v>
      </c>
      <c r="B16" s="22"/>
      <c r="C16" s="48"/>
      <c r="D16" s="49"/>
      <c r="E16" s="48"/>
      <c r="F16" s="88"/>
      <c r="G16" s="107" t="s">
        <v>107</v>
      </c>
    </row>
    <row r="17" spans="1:7" ht="12.75">
      <c r="A17" s="2" t="s">
        <v>95</v>
      </c>
      <c r="B17" s="22"/>
      <c r="C17" s="85"/>
      <c r="D17" s="86"/>
      <c r="E17" s="85"/>
      <c r="F17" s="89"/>
      <c r="G17" s="108"/>
    </row>
    <row r="18" spans="1:7" ht="12.75">
      <c r="A18" s="2" t="s">
        <v>96</v>
      </c>
      <c r="B18" s="132">
        <f>B13/30</f>
        <v>4069.5743333333326</v>
      </c>
      <c r="C18" s="133"/>
      <c r="D18" s="134"/>
      <c r="E18" s="133"/>
      <c r="F18" s="135"/>
      <c r="G18" s="109" t="s">
        <v>12</v>
      </c>
    </row>
    <row r="19" spans="1:7" ht="12.75">
      <c r="A19" s="2"/>
      <c r="B19" s="132"/>
      <c r="C19" s="133"/>
      <c r="D19" s="134"/>
      <c r="E19" s="133"/>
      <c r="F19" s="135"/>
      <c r="G19" s="108" t="s">
        <v>80</v>
      </c>
    </row>
    <row r="20" spans="1:7" ht="12.75">
      <c r="A20" s="2" t="s">
        <v>6</v>
      </c>
      <c r="B20" s="132"/>
      <c r="C20" s="133"/>
      <c r="D20" s="134"/>
      <c r="E20" s="133"/>
      <c r="F20" s="135"/>
      <c r="G20" s="108"/>
    </row>
    <row r="21" spans="1:7" ht="12.75">
      <c r="A21" s="2" t="s">
        <v>97</v>
      </c>
      <c r="B21" s="132">
        <f>B18*21</f>
        <v>85461.06099999999</v>
      </c>
      <c r="C21" s="133"/>
      <c r="D21" s="134"/>
      <c r="E21" s="133"/>
      <c r="F21" s="135"/>
      <c r="G21" s="109" t="s">
        <v>81</v>
      </c>
    </row>
    <row r="22" spans="1:7" ht="12.75">
      <c r="A22" s="17"/>
      <c r="B22" s="132"/>
      <c r="C22" s="133"/>
      <c r="D22" s="134"/>
      <c r="E22" s="133"/>
      <c r="F22" s="135"/>
      <c r="G22" s="108"/>
    </row>
    <row r="23" spans="1:7" ht="12.75">
      <c r="A23" s="2" t="s">
        <v>7</v>
      </c>
      <c r="B23" s="132"/>
      <c r="C23" s="133"/>
      <c r="D23" s="134"/>
      <c r="E23" s="133"/>
      <c r="F23" s="135"/>
      <c r="G23" s="109" t="s">
        <v>48</v>
      </c>
    </row>
    <row r="24" spans="1:7" ht="12.75">
      <c r="A24" s="2" t="s">
        <v>98</v>
      </c>
      <c r="B24" s="132">
        <f>B18*8</f>
        <v>32556.59466666666</v>
      </c>
      <c r="C24" s="133"/>
      <c r="D24" s="134"/>
      <c r="E24" s="133"/>
      <c r="F24" s="135"/>
      <c r="G24" s="108" t="s">
        <v>62</v>
      </c>
    </row>
    <row r="25" spans="1:7" ht="12.75">
      <c r="A25" s="17"/>
      <c r="B25" s="132"/>
      <c r="C25" s="133"/>
      <c r="D25" s="134"/>
      <c r="E25" s="133"/>
      <c r="F25" s="135"/>
      <c r="G25" s="108"/>
    </row>
    <row r="26" spans="1:7" ht="12.75">
      <c r="A26" s="2" t="s">
        <v>66</v>
      </c>
      <c r="B26" s="132"/>
      <c r="C26" s="133"/>
      <c r="D26" s="134"/>
      <c r="E26" s="133"/>
      <c r="F26" s="134"/>
      <c r="G26" s="109" t="s">
        <v>63</v>
      </c>
    </row>
    <row r="27" spans="1:7" ht="12.75">
      <c r="A27" s="2" t="s">
        <v>99</v>
      </c>
      <c r="B27" s="132">
        <f>B18*1</f>
        <v>4069.5743333333326</v>
      </c>
      <c r="C27" s="133"/>
      <c r="D27" s="134"/>
      <c r="E27" s="133"/>
      <c r="F27" s="135"/>
      <c r="G27" s="108"/>
    </row>
    <row r="28" spans="1:7" ht="12.75">
      <c r="A28" s="17"/>
      <c r="B28" s="132"/>
      <c r="C28" s="133"/>
      <c r="D28" s="134"/>
      <c r="E28" s="133"/>
      <c r="F28" s="135"/>
      <c r="G28" s="109" t="s">
        <v>61</v>
      </c>
    </row>
    <row r="29" spans="1:7" ht="12.75">
      <c r="A29" s="50"/>
      <c r="B29" s="122"/>
      <c r="C29" s="123">
        <f>D29+E29+F29</f>
        <v>122087.22999999998</v>
      </c>
      <c r="D29" s="136">
        <f>B21</f>
        <v>85461.06099999999</v>
      </c>
      <c r="E29" s="137">
        <f>B24</f>
        <v>32556.59466666666</v>
      </c>
      <c r="F29" s="138">
        <f>B27</f>
        <v>4069.5743333333326</v>
      </c>
      <c r="G29" s="108" t="s">
        <v>70</v>
      </c>
    </row>
    <row r="30" spans="1:7" ht="12.75">
      <c r="A30" s="26"/>
      <c r="B30" s="25"/>
      <c r="C30" s="26"/>
      <c r="D30" s="26"/>
      <c r="E30" s="26"/>
      <c r="F30" s="18"/>
      <c r="G30" s="108"/>
    </row>
    <row r="31" spans="1:7" ht="12.75">
      <c r="A31" s="2" t="s">
        <v>41</v>
      </c>
      <c r="B31" s="87">
        <v>4670</v>
      </c>
      <c r="C31" s="17"/>
      <c r="D31" s="17"/>
      <c r="E31" s="17"/>
      <c r="F31" s="18"/>
      <c r="G31" s="109" t="s">
        <v>71</v>
      </c>
    </row>
    <row r="32" spans="1:7" ht="12.75">
      <c r="A32" s="2" t="s">
        <v>76</v>
      </c>
      <c r="B32" s="82"/>
      <c r="C32" s="17"/>
      <c r="D32" s="17"/>
      <c r="E32" s="17"/>
      <c r="F32" s="18"/>
      <c r="G32" s="108"/>
    </row>
    <row r="33" spans="1:7" ht="12.75">
      <c r="A33" s="17"/>
      <c r="B33" s="82"/>
      <c r="C33" s="2"/>
      <c r="D33" s="2"/>
      <c r="E33" s="2"/>
      <c r="F33" s="4"/>
      <c r="G33" s="109" t="s">
        <v>82</v>
      </c>
    </row>
    <row r="34" spans="1:7" s="51" customFormat="1" ht="12.75">
      <c r="A34" s="36" t="s">
        <v>3</v>
      </c>
      <c r="B34" s="105"/>
      <c r="C34" s="36"/>
      <c r="D34" s="36"/>
      <c r="E34" s="36"/>
      <c r="F34" s="77"/>
      <c r="G34" s="41"/>
    </row>
    <row r="35" spans="1:7" ht="12.75">
      <c r="A35" s="2" t="s">
        <v>77</v>
      </c>
      <c r="B35" s="39">
        <f>662*4.67</f>
        <v>3091.54</v>
      </c>
      <c r="C35" s="2"/>
      <c r="D35" s="2"/>
      <c r="E35" s="2"/>
      <c r="F35" s="4"/>
      <c r="G35" s="17"/>
    </row>
    <row r="36" spans="1:7" ht="12.75">
      <c r="A36" s="2"/>
      <c r="B36" s="39"/>
      <c r="C36" s="2"/>
      <c r="D36" s="2"/>
      <c r="E36" s="2"/>
      <c r="F36" s="4"/>
      <c r="G36" s="17"/>
    </row>
    <row r="37" spans="1:7" ht="12.75">
      <c r="A37" s="17"/>
      <c r="B37" s="39"/>
      <c r="C37" s="2"/>
      <c r="D37" s="2"/>
      <c r="E37" s="2"/>
      <c r="F37" s="4"/>
      <c r="G37" s="17"/>
    </row>
    <row r="38" spans="1:7" ht="12.75">
      <c r="A38" s="36" t="s">
        <v>8</v>
      </c>
      <c r="B38" s="39"/>
      <c r="C38" s="2"/>
      <c r="D38" s="2"/>
      <c r="E38" s="2"/>
      <c r="F38" s="27"/>
      <c r="G38" s="17"/>
    </row>
    <row r="39" spans="1:7" ht="12.75">
      <c r="A39" s="2" t="s">
        <v>78</v>
      </c>
      <c r="B39" s="39">
        <f>301*4.67</f>
        <v>1405.67</v>
      </c>
      <c r="C39" s="2"/>
      <c r="D39" s="2"/>
      <c r="E39" s="2"/>
      <c r="F39" s="4"/>
      <c r="G39" s="17"/>
    </row>
    <row r="40" spans="1:7" ht="12.75">
      <c r="A40" s="2"/>
      <c r="B40" s="39"/>
      <c r="C40" s="2"/>
      <c r="D40" s="2"/>
      <c r="E40" s="2"/>
      <c r="F40" s="4"/>
      <c r="G40" s="41"/>
    </row>
    <row r="41" spans="1:7" ht="12.75">
      <c r="A41" s="17"/>
      <c r="B41" s="39"/>
      <c r="C41" s="2"/>
      <c r="D41" s="2"/>
      <c r="E41" s="2"/>
      <c r="F41" s="4"/>
      <c r="G41" s="41"/>
    </row>
    <row r="42" spans="1:7" ht="12.75">
      <c r="A42" s="36" t="s">
        <v>65</v>
      </c>
      <c r="B42" s="39"/>
      <c r="C42" s="2"/>
      <c r="D42" s="2"/>
      <c r="E42" s="2"/>
      <c r="F42" s="4"/>
      <c r="G42" s="41"/>
    </row>
    <row r="43" spans="1:7" ht="12.75">
      <c r="A43" s="2" t="s">
        <v>79</v>
      </c>
      <c r="B43" s="39">
        <f>37*4.67</f>
        <v>172.79</v>
      </c>
      <c r="C43" s="2"/>
      <c r="D43" s="2"/>
      <c r="E43" s="2"/>
      <c r="F43" s="4"/>
      <c r="G43" s="41"/>
    </row>
    <row r="44" spans="1:7" ht="12.75">
      <c r="A44" s="17"/>
      <c r="B44" s="98"/>
      <c r="C44" s="2"/>
      <c r="D44" s="2"/>
      <c r="E44" s="2"/>
      <c r="F44" s="4"/>
      <c r="G44" s="17"/>
    </row>
    <row r="45" spans="1:7" ht="12.75">
      <c r="A45" s="20"/>
      <c r="B45" s="6"/>
      <c r="C45" s="28">
        <f>D45+E45+F45</f>
        <v>4670</v>
      </c>
      <c r="D45" s="5">
        <f>B35</f>
        <v>3091.54</v>
      </c>
      <c r="E45" s="5">
        <f>B39</f>
        <v>1405.67</v>
      </c>
      <c r="F45" s="90">
        <f>B43</f>
        <v>172.79</v>
      </c>
      <c r="G45" s="42"/>
    </row>
    <row r="46" spans="1:7" ht="17.25" customHeight="1">
      <c r="A46" s="21"/>
      <c r="B46" s="25"/>
      <c r="C46" s="26"/>
      <c r="D46" s="26"/>
      <c r="E46" s="26"/>
      <c r="F46" s="26"/>
      <c r="G46" s="26"/>
    </row>
    <row r="47" spans="1:7" ht="17.25" customHeight="1">
      <c r="A47" s="4" t="s">
        <v>53</v>
      </c>
      <c r="B47" s="19"/>
      <c r="C47" s="17"/>
      <c r="D47" s="17"/>
      <c r="E47" s="17"/>
      <c r="F47" s="17"/>
      <c r="G47" s="17"/>
    </row>
    <row r="48" spans="1:7" ht="17.25" customHeight="1">
      <c r="A48" s="4" t="s">
        <v>83</v>
      </c>
      <c r="B48" s="19"/>
      <c r="C48" s="17"/>
      <c r="D48" s="17"/>
      <c r="E48" s="17"/>
      <c r="F48" s="17"/>
      <c r="G48" s="17"/>
    </row>
    <row r="49" spans="1:7" ht="17.25" customHeight="1">
      <c r="A49" s="4" t="s">
        <v>31</v>
      </c>
      <c r="B49" s="120">
        <v>9.323858025</v>
      </c>
      <c r="C49" s="108"/>
      <c r="D49" s="108"/>
      <c r="E49" s="108"/>
      <c r="F49" s="108"/>
      <c r="G49" s="41"/>
    </row>
    <row r="50" spans="1:7" ht="17.25" customHeight="1">
      <c r="A50" s="4" t="s">
        <v>84</v>
      </c>
      <c r="B50" s="121">
        <f>B49*22500</f>
        <v>209786.8055625</v>
      </c>
      <c r="C50" s="108"/>
      <c r="D50" s="108"/>
      <c r="E50" s="108"/>
      <c r="F50" s="108"/>
      <c r="G50" s="17"/>
    </row>
    <row r="51" spans="1:7" ht="17.25" customHeight="1">
      <c r="A51" s="4" t="s">
        <v>85</v>
      </c>
      <c r="B51" s="121">
        <f>B49*8800</f>
        <v>82049.95062</v>
      </c>
      <c r="C51" s="108"/>
      <c r="D51" s="108"/>
      <c r="E51" s="108"/>
      <c r="F51" s="108"/>
      <c r="G51" s="17"/>
    </row>
    <row r="52" spans="1:7" ht="17.25" customHeight="1">
      <c r="A52" s="4" t="s">
        <v>86</v>
      </c>
      <c r="B52" s="121">
        <f>B49*1100</f>
        <v>10256.2438275</v>
      </c>
      <c r="C52" s="108"/>
      <c r="D52" s="108"/>
      <c r="E52" s="108"/>
      <c r="F52" s="108"/>
      <c r="G52" s="17"/>
    </row>
    <row r="53" spans="1:7" ht="17.25" customHeight="1">
      <c r="A53" s="23"/>
      <c r="B53" s="122"/>
      <c r="C53" s="123">
        <f>D53+E53+F53</f>
        <v>302093.00000999996</v>
      </c>
      <c r="D53" s="124">
        <f>B50</f>
        <v>209786.8055625</v>
      </c>
      <c r="E53" s="124">
        <f>B51</f>
        <v>82049.95062</v>
      </c>
      <c r="F53" s="124">
        <f>B52</f>
        <v>10256.2438275</v>
      </c>
      <c r="G53" s="20"/>
    </row>
    <row r="54" spans="1:7" ht="17.25" customHeight="1">
      <c r="A54" s="18"/>
      <c r="B54" s="19"/>
      <c r="C54" s="17"/>
      <c r="D54" s="17"/>
      <c r="E54" s="17"/>
      <c r="F54" s="17"/>
      <c r="G54" s="17"/>
    </row>
    <row r="55" spans="1:7" ht="12.75">
      <c r="A55" s="4" t="s">
        <v>32</v>
      </c>
      <c r="B55" s="44">
        <v>329600</v>
      </c>
      <c r="C55" s="17"/>
      <c r="D55" s="17"/>
      <c r="E55" s="17"/>
      <c r="F55" s="17"/>
      <c r="G55" s="17"/>
    </row>
    <row r="56" spans="1:7" ht="12.75">
      <c r="A56" s="4" t="s">
        <v>33</v>
      </c>
      <c r="B56" s="44"/>
      <c r="C56" s="17"/>
      <c r="D56" s="17"/>
      <c r="E56" s="17"/>
      <c r="F56" s="17"/>
      <c r="G56" s="17"/>
    </row>
    <row r="57" spans="1:7" ht="12.75">
      <c r="A57" s="4" t="s">
        <v>34</v>
      </c>
      <c r="B57" s="44"/>
      <c r="C57" s="17"/>
      <c r="D57" s="17"/>
      <c r="E57" s="17"/>
      <c r="F57" s="17"/>
      <c r="G57" s="17"/>
    </row>
    <row r="58" spans="1:7" ht="12.75">
      <c r="A58" s="4" t="s">
        <v>35</v>
      </c>
      <c r="B58" s="44"/>
      <c r="C58" s="17"/>
      <c r="D58" s="17"/>
      <c r="E58" s="17"/>
      <c r="F58" s="17"/>
      <c r="G58" s="17"/>
    </row>
    <row r="59" spans="1:7" ht="12.75">
      <c r="A59" s="18"/>
      <c r="B59" s="44"/>
      <c r="C59" s="17"/>
      <c r="D59" s="17"/>
      <c r="E59" s="17"/>
      <c r="F59" s="17"/>
      <c r="G59" s="17"/>
    </row>
    <row r="60" spans="1:7" ht="12.75">
      <c r="A60" s="4" t="s">
        <v>36</v>
      </c>
      <c r="B60" s="44">
        <v>212278.28</v>
      </c>
      <c r="C60" s="17"/>
      <c r="D60" s="17"/>
      <c r="E60" s="17"/>
      <c r="F60" s="17"/>
      <c r="G60" s="17"/>
    </row>
    <row r="61" spans="1:7" ht="12.75">
      <c r="A61" s="18"/>
      <c r="B61" s="44"/>
      <c r="C61" s="17"/>
      <c r="D61" s="17"/>
      <c r="E61" s="17"/>
      <c r="F61" s="17"/>
      <c r="G61" s="17"/>
    </row>
    <row r="62" spans="1:7" ht="12.75">
      <c r="A62" s="4" t="s">
        <v>8</v>
      </c>
      <c r="B62" s="44">
        <v>103524.09</v>
      </c>
      <c r="C62" s="17"/>
      <c r="D62" s="17"/>
      <c r="E62" s="17"/>
      <c r="F62" s="17"/>
      <c r="G62" s="17"/>
    </row>
    <row r="63" spans="1:7" ht="12.75">
      <c r="A63" s="4"/>
      <c r="B63" s="44"/>
      <c r="C63" s="17"/>
      <c r="D63" s="17"/>
      <c r="E63" s="17"/>
      <c r="F63" s="17"/>
      <c r="G63" s="17"/>
    </row>
    <row r="64" spans="1:7" ht="12.75">
      <c r="A64" s="4" t="s">
        <v>65</v>
      </c>
      <c r="B64" s="44">
        <v>13797.63</v>
      </c>
      <c r="C64" s="17"/>
      <c r="D64" s="17"/>
      <c r="E64" s="17"/>
      <c r="F64" s="17"/>
      <c r="G64" s="17"/>
    </row>
    <row r="65" spans="1:7" ht="12.75">
      <c r="A65" s="4"/>
      <c r="B65" s="19"/>
      <c r="C65" s="17"/>
      <c r="D65" s="17"/>
      <c r="E65" s="17"/>
      <c r="F65" s="17"/>
      <c r="G65" s="17"/>
    </row>
    <row r="66" spans="1:7" ht="12.75">
      <c r="A66" s="23"/>
      <c r="B66" s="24"/>
      <c r="C66" s="28">
        <f>D66+E66+F66</f>
        <v>-329600</v>
      </c>
      <c r="D66" s="5">
        <f>-B60</f>
        <v>-212278.28</v>
      </c>
      <c r="E66" s="5">
        <f>-B62</f>
        <v>-103524.09</v>
      </c>
      <c r="F66" s="5">
        <f>-B64</f>
        <v>-13797.63</v>
      </c>
      <c r="G66" s="20"/>
    </row>
    <row r="67" spans="1:7" ht="12.75">
      <c r="A67" s="21"/>
      <c r="B67" s="25"/>
      <c r="C67" s="26"/>
      <c r="D67" s="26" t="s">
        <v>10</v>
      </c>
      <c r="E67" s="26"/>
      <c r="F67" s="26"/>
      <c r="G67" s="26"/>
    </row>
    <row r="68" spans="1:7" ht="15.75" customHeight="1">
      <c r="A68" s="4" t="s">
        <v>49</v>
      </c>
      <c r="B68" s="40"/>
      <c r="C68" s="17"/>
      <c r="D68" s="17"/>
      <c r="E68" s="17"/>
      <c r="F68" s="17"/>
      <c r="G68" s="17"/>
    </row>
    <row r="69" spans="1:7" ht="12.75">
      <c r="A69" s="4"/>
      <c r="B69" s="19"/>
      <c r="C69" s="17"/>
      <c r="D69" s="17"/>
      <c r="E69" s="17"/>
      <c r="F69" s="17"/>
      <c r="G69" s="17"/>
    </row>
    <row r="70" spans="1:7" ht="12.75">
      <c r="A70" s="4" t="s">
        <v>60</v>
      </c>
      <c r="B70" s="19"/>
      <c r="C70" s="17"/>
      <c r="D70" s="17"/>
      <c r="E70" s="17"/>
      <c r="F70" s="17"/>
      <c r="G70" s="17"/>
    </row>
    <row r="71" spans="1:7" ht="12.75">
      <c r="A71" s="4" t="s">
        <v>58</v>
      </c>
      <c r="B71" s="19"/>
      <c r="C71" s="17"/>
      <c r="D71" s="17"/>
      <c r="E71" s="17"/>
      <c r="F71" s="17"/>
      <c r="G71" s="17"/>
    </row>
    <row r="72" spans="1:7" ht="12.75">
      <c r="A72" s="4"/>
      <c r="B72" s="19"/>
      <c r="C72" s="2"/>
      <c r="D72" s="2"/>
      <c r="E72" s="2"/>
      <c r="F72" s="2"/>
      <c r="G72" s="17"/>
    </row>
    <row r="73" spans="1:7" ht="12.75">
      <c r="A73" s="4" t="s">
        <v>100</v>
      </c>
      <c r="B73" s="121">
        <f>B5*1%</f>
        <v>5078.8123</v>
      </c>
      <c r="C73" s="108"/>
      <c r="D73" s="108"/>
      <c r="E73" s="108"/>
      <c r="F73" s="108"/>
      <c r="G73" s="17"/>
    </row>
    <row r="74" spans="1:7" ht="12.75">
      <c r="A74" s="18"/>
      <c r="B74" s="121"/>
      <c r="C74" s="108"/>
      <c r="D74" s="108"/>
      <c r="E74" s="108"/>
      <c r="F74" s="108"/>
      <c r="G74" s="17"/>
    </row>
    <row r="75" spans="1:7" ht="12.75">
      <c r="A75" s="4" t="s">
        <v>9</v>
      </c>
      <c r="B75" s="121"/>
      <c r="C75" s="108"/>
      <c r="D75" s="108"/>
      <c r="E75" s="108"/>
      <c r="F75" s="108"/>
      <c r="G75" s="17"/>
    </row>
    <row r="76" spans="1:7" ht="12.75">
      <c r="A76" s="4"/>
      <c r="B76" s="121"/>
      <c r="C76" s="108"/>
      <c r="D76" s="108"/>
      <c r="E76" s="108"/>
      <c r="F76" s="108"/>
      <c r="G76" s="17"/>
    </row>
    <row r="77" spans="1:7" ht="12.75">
      <c r="A77" s="4" t="s">
        <v>101</v>
      </c>
      <c r="B77" s="121">
        <f>B73/30*21</f>
        <v>3555.1686099999997</v>
      </c>
      <c r="C77" s="108"/>
      <c r="D77" s="108"/>
      <c r="E77" s="108"/>
      <c r="F77" s="108"/>
      <c r="G77" s="17"/>
    </row>
    <row r="78" spans="1:7" ht="12.75">
      <c r="A78" s="18"/>
      <c r="B78" s="121"/>
      <c r="C78" s="108"/>
      <c r="D78" s="108"/>
      <c r="E78" s="108"/>
      <c r="F78" s="108"/>
      <c r="G78" s="17"/>
    </row>
    <row r="79" spans="1:7" ht="12.75">
      <c r="A79" s="4" t="s">
        <v>102</v>
      </c>
      <c r="B79" s="121">
        <f>B73/30*8</f>
        <v>1354.3499466666665</v>
      </c>
      <c r="C79" s="108"/>
      <c r="D79" s="108"/>
      <c r="E79" s="108"/>
      <c r="F79" s="108"/>
      <c r="G79" s="17"/>
    </row>
    <row r="80" spans="1:7" ht="12.75">
      <c r="A80" s="18"/>
      <c r="B80" s="121"/>
      <c r="C80" s="108"/>
      <c r="D80" s="108"/>
      <c r="E80" s="108"/>
      <c r="F80" s="108"/>
      <c r="G80" s="17"/>
    </row>
    <row r="81" spans="1:7" ht="12.75">
      <c r="A81" s="4" t="s">
        <v>103</v>
      </c>
      <c r="B81" s="121">
        <f>B73/30*1</f>
        <v>169.2937433333333</v>
      </c>
      <c r="C81" s="108"/>
      <c r="D81" s="108"/>
      <c r="E81" s="108"/>
      <c r="F81" s="108"/>
      <c r="G81" s="17"/>
    </row>
    <row r="82" spans="1:7" ht="12.75">
      <c r="A82" s="18"/>
      <c r="B82" s="121"/>
      <c r="C82" s="108"/>
      <c r="D82" s="108"/>
      <c r="E82" s="108"/>
      <c r="F82" s="108"/>
      <c r="G82" s="17"/>
    </row>
    <row r="83" spans="1:7" ht="12.75">
      <c r="A83" s="23"/>
      <c r="B83" s="122"/>
      <c r="C83" s="123">
        <f>D83+E83+F83</f>
        <v>5078.8123</v>
      </c>
      <c r="D83" s="127">
        <f>B77</f>
        <v>3555.1686099999997</v>
      </c>
      <c r="E83" s="127">
        <f>B79</f>
        <v>1354.3499466666665</v>
      </c>
      <c r="F83" s="127">
        <f>B81</f>
        <v>169.2937433333333</v>
      </c>
      <c r="G83" s="20"/>
    </row>
    <row r="84" spans="1:7" ht="12.75">
      <c r="A84" s="21"/>
      <c r="B84" s="25"/>
      <c r="C84" s="100"/>
      <c r="D84" s="101"/>
      <c r="E84" s="101"/>
      <c r="F84" s="101"/>
      <c r="G84" s="26"/>
    </row>
    <row r="85" spans="1:7" s="47" customFormat="1" ht="12.75">
      <c r="A85" s="4" t="s">
        <v>56</v>
      </c>
      <c r="B85" s="121">
        <v>79031</v>
      </c>
      <c r="C85" s="102"/>
      <c r="D85" s="103"/>
      <c r="E85" s="103"/>
      <c r="F85" s="103"/>
      <c r="G85" s="17"/>
    </row>
    <row r="86" spans="1:7" s="47" customFormat="1" ht="12.75">
      <c r="A86" s="4"/>
      <c r="B86" s="121"/>
      <c r="C86" s="102"/>
      <c r="D86" s="103"/>
      <c r="E86" s="103"/>
      <c r="F86" s="103"/>
      <c r="G86" s="17"/>
    </row>
    <row r="87" spans="1:7" s="47" customFormat="1" ht="12.75">
      <c r="A87" s="4" t="s">
        <v>50</v>
      </c>
      <c r="B87" s="121"/>
      <c r="C87" s="102"/>
      <c r="D87" s="103"/>
      <c r="E87" s="103"/>
      <c r="F87" s="103"/>
      <c r="G87" s="17"/>
    </row>
    <row r="88" spans="1:7" s="47" customFormat="1" ht="12.75">
      <c r="A88" s="4" t="s">
        <v>55</v>
      </c>
      <c r="B88" s="121"/>
      <c r="C88" s="102"/>
      <c r="D88" s="103"/>
      <c r="E88" s="103"/>
      <c r="F88" s="103"/>
      <c r="G88" s="17"/>
    </row>
    <row r="89" spans="1:7" s="47" customFormat="1" ht="12.75">
      <c r="A89" s="4" t="s">
        <v>87</v>
      </c>
      <c r="B89" s="121">
        <f>B85/365*235</f>
        <v>50882.97260273973</v>
      </c>
      <c r="C89" s="102"/>
      <c r="D89" s="103"/>
      <c r="E89" s="103"/>
      <c r="F89" s="103"/>
      <c r="G89" s="17"/>
    </row>
    <row r="90" spans="1:7" s="47" customFormat="1" ht="12.75">
      <c r="A90" s="18"/>
      <c r="B90" s="19"/>
      <c r="C90" s="102"/>
      <c r="D90" s="103"/>
      <c r="E90" s="103"/>
      <c r="F90" s="103"/>
      <c r="G90" s="17"/>
    </row>
    <row r="91" spans="1:7" s="47" customFormat="1" ht="12.75">
      <c r="A91" s="4" t="s">
        <v>9</v>
      </c>
      <c r="B91" s="19"/>
      <c r="C91" s="102"/>
      <c r="D91" s="103"/>
      <c r="E91" s="103"/>
      <c r="F91" s="103"/>
      <c r="G91" s="17"/>
    </row>
    <row r="92" spans="1:7" s="47" customFormat="1" ht="12.75">
      <c r="A92" s="75" t="s">
        <v>14</v>
      </c>
      <c r="C92" s="102"/>
      <c r="D92" s="103"/>
      <c r="E92" s="103"/>
      <c r="F92" s="103"/>
      <c r="G92" s="17"/>
    </row>
    <row r="93" spans="1:7" s="47" customFormat="1" ht="12.75">
      <c r="A93" s="4" t="s">
        <v>88</v>
      </c>
      <c r="B93" s="121">
        <f>B89/30*8</f>
        <v>13568.792694063926</v>
      </c>
      <c r="C93" s="102"/>
      <c r="D93" s="103"/>
      <c r="E93" s="103"/>
      <c r="F93" s="103"/>
      <c r="G93" s="17"/>
    </row>
    <row r="94" spans="1:7" s="47" customFormat="1" ht="12.75">
      <c r="A94" s="18"/>
      <c r="B94" s="121"/>
      <c r="C94" s="102"/>
      <c r="D94" s="103"/>
      <c r="E94" s="103"/>
      <c r="F94" s="103"/>
      <c r="G94" s="17"/>
    </row>
    <row r="95" spans="1:7" s="47" customFormat="1" ht="12.75">
      <c r="A95" s="75" t="s">
        <v>13</v>
      </c>
      <c r="B95" s="121"/>
      <c r="C95" s="102"/>
      <c r="D95" s="103"/>
      <c r="E95" s="103"/>
      <c r="F95" s="103"/>
      <c r="G95" s="17"/>
    </row>
    <row r="96" spans="1:7" s="47" customFormat="1" ht="12.75">
      <c r="A96" s="4" t="s">
        <v>89</v>
      </c>
      <c r="B96" s="121">
        <f>B89/30*21</f>
        <v>35618.08082191781</v>
      </c>
      <c r="C96" s="102"/>
      <c r="D96" s="103"/>
      <c r="E96" s="103"/>
      <c r="F96" s="103"/>
      <c r="G96" s="17"/>
    </row>
    <row r="97" spans="1:7" s="47" customFormat="1" ht="12.75">
      <c r="A97" s="18"/>
      <c r="B97" s="125"/>
      <c r="C97" s="102"/>
      <c r="D97" s="103"/>
      <c r="E97" s="103"/>
      <c r="F97" s="103"/>
      <c r="G97" s="17"/>
    </row>
    <row r="98" spans="1:7" s="27" customFormat="1" ht="12.75">
      <c r="A98" s="75" t="s">
        <v>61</v>
      </c>
      <c r="B98" s="125"/>
      <c r="C98" s="102"/>
      <c r="D98" s="103"/>
      <c r="E98" s="103"/>
      <c r="F98" s="103"/>
      <c r="G98" s="17"/>
    </row>
    <row r="99" spans="1:7" s="47" customFormat="1" ht="12.75">
      <c r="A99" s="4" t="s">
        <v>90</v>
      </c>
      <c r="B99" s="125">
        <f>B89/30*1</f>
        <v>1696.0990867579908</v>
      </c>
      <c r="C99" s="102"/>
      <c r="D99" s="103"/>
      <c r="E99" s="103"/>
      <c r="F99" s="103"/>
      <c r="G99" s="17"/>
    </row>
    <row r="100" spans="1:7" s="47" customFormat="1" ht="12.75">
      <c r="A100" s="4"/>
      <c r="B100" s="125"/>
      <c r="C100" s="102"/>
      <c r="D100" s="103"/>
      <c r="E100" s="103"/>
      <c r="F100" s="103"/>
      <c r="G100" s="17"/>
    </row>
    <row r="101" spans="1:7" s="47" customFormat="1" ht="12.75">
      <c r="A101" s="4" t="s">
        <v>57</v>
      </c>
      <c r="B101" s="125">
        <f>B85-B89</f>
        <v>28148.027397260274</v>
      </c>
      <c r="C101" s="102"/>
      <c r="D101" s="103"/>
      <c r="E101" s="103"/>
      <c r="F101" s="103"/>
      <c r="G101" s="17"/>
    </row>
    <row r="102" spans="1:7" s="47" customFormat="1" ht="12.75">
      <c r="A102" s="18"/>
      <c r="C102" s="102"/>
      <c r="D102" s="103"/>
      <c r="E102" s="103"/>
      <c r="F102" s="103"/>
      <c r="G102" s="17"/>
    </row>
    <row r="103" spans="1:7" s="47" customFormat="1" ht="12.75">
      <c r="A103" s="23"/>
      <c r="B103" s="24"/>
      <c r="C103" s="126">
        <f>D103+E103+F103</f>
        <v>79031</v>
      </c>
      <c r="D103" s="127">
        <f>B96+B101</f>
        <v>63766.10821917808</v>
      </c>
      <c r="E103" s="127">
        <f>B93</f>
        <v>13568.792694063926</v>
      </c>
      <c r="F103" s="128">
        <f>B99</f>
        <v>1696.0990867579908</v>
      </c>
      <c r="G103" s="17"/>
    </row>
    <row r="104" spans="1:7" s="54" customFormat="1" ht="27.75" customHeight="1">
      <c r="A104" s="76" t="s">
        <v>75</v>
      </c>
      <c r="B104" s="53"/>
      <c r="C104" s="93">
        <f>SUM(C29:C103)</f>
        <v>183360.04230999993</v>
      </c>
      <c r="D104" s="94">
        <f>SUM(D29:D103)</f>
        <v>153382.40339167806</v>
      </c>
      <c r="E104" s="94">
        <f>E29+E53+E45+E66+E83+E103</f>
        <v>27411.267927397254</v>
      </c>
      <c r="F104" s="94">
        <f>F29+F53+F45+F66+F83+F103</f>
        <v>2566.370990924658</v>
      </c>
      <c r="G104" s="43"/>
    </row>
    <row r="105" spans="1:7" s="56" customFormat="1" ht="19.5" customHeight="1">
      <c r="A105" s="30" t="s">
        <v>74</v>
      </c>
      <c r="B105" s="55"/>
      <c r="C105" s="81"/>
      <c r="D105" s="83"/>
      <c r="E105" s="73">
        <v>52000</v>
      </c>
      <c r="F105" s="95">
        <v>6500</v>
      </c>
      <c r="G105" s="72"/>
    </row>
    <row r="106" spans="1:6" s="56" customFormat="1" ht="19.5" customHeight="1">
      <c r="A106" s="77" t="s">
        <v>68</v>
      </c>
      <c r="B106" s="78"/>
      <c r="C106" s="78"/>
      <c r="D106" s="84"/>
      <c r="E106" s="106">
        <f>E104-E105</f>
        <v>-24588.732072602746</v>
      </c>
      <c r="F106" s="106">
        <f>F104-F105</f>
        <v>-3933.629009075342</v>
      </c>
    </row>
    <row r="107" spans="2:6" ht="19.5" customHeight="1">
      <c r="B107" s="22"/>
      <c r="D107" s="47"/>
      <c r="E107" s="52"/>
      <c r="F107" s="52"/>
    </row>
    <row r="108" spans="1:6" ht="12.75">
      <c r="A108" s="68" t="s">
        <v>59</v>
      </c>
      <c r="B108" s="69"/>
      <c r="C108" s="29"/>
      <c r="D108" s="29"/>
      <c r="E108" s="57"/>
      <c r="F108" s="47"/>
    </row>
    <row r="109" spans="1:6" ht="12.75">
      <c r="A109" s="3" t="s">
        <v>72</v>
      </c>
      <c r="B109" s="70"/>
      <c r="C109" s="71"/>
      <c r="D109" s="71"/>
      <c r="E109" s="58"/>
      <c r="F109" s="47"/>
    </row>
    <row r="110" ht="12.75">
      <c r="B110" s="22"/>
    </row>
    <row r="111" ht="12.75">
      <c r="B111" s="22"/>
    </row>
    <row r="112" ht="12.75">
      <c r="B112" s="22"/>
    </row>
    <row r="113" ht="12.75">
      <c r="B113" s="22"/>
    </row>
    <row r="114" spans="1:4" ht="24" customHeight="1">
      <c r="A114" s="51"/>
      <c r="B114" s="22"/>
      <c r="D114" s="74"/>
    </row>
    <row r="115" spans="2:4" ht="19.5" customHeight="1">
      <c r="B115" s="22"/>
      <c r="D115" s="34"/>
    </row>
    <row r="116" ht="20.25" customHeight="1">
      <c r="D116" s="34"/>
    </row>
    <row r="117" ht="20.25" customHeight="1">
      <c r="D117" s="59"/>
    </row>
    <row r="118" spans="1:2" ht="24" customHeight="1">
      <c r="A118" s="51"/>
      <c r="B118" s="22"/>
    </row>
    <row r="119" ht="21" customHeight="1">
      <c r="B119" s="22"/>
    </row>
    <row r="120" ht="21" customHeight="1">
      <c r="B120" s="22"/>
    </row>
    <row r="121" ht="9" customHeight="1">
      <c r="B121" s="22"/>
    </row>
    <row r="122" spans="1:6" ht="20.25" customHeight="1">
      <c r="A122" s="51"/>
      <c r="B122" s="22"/>
      <c r="D122" s="51"/>
      <c r="E122" s="22"/>
      <c r="F122" s="22"/>
    </row>
    <row r="123" ht="20.25" customHeight="1">
      <c r="B123" s="22"/>
    </row>
    <row r="124" ht="21" customHeight="1">
      <c r="B124" s="22"/>
    </row>
    <row r="125" ht="20.25" customHeight="1">
      <c r="B125" s="22"/>
    </row>
    <row r="126" ht="19.5" customHeight="1">
      <c r="A126" s="51"/>
    </row>
    <row r="127" ht="19.5" customHeight="1">
      <c r="B127" s="34"/>
    </row>
    <row r="128" ht="19.5" customHeight="1">
      <c r="B128" s="34"/>
    </row>
    <row r="129" ht="19.5" customHeight="1">
      <c r="B129" s="34"/>
    </row>
    <row r="130" ht="13.5" customHeight="1"/>
    <row r="131" spans="1:2" ht="18" customHeight="1">
      <c r="A131" s="51"/>
      <c r="B131" s="22"/>
    </row>
    <row r="132" ht="17.25" customHeight="1">
      <c r="B132" s="22"/>
    </row>
    <row r="133" ht="18" customHeight="1">
      <c r="B133" s="22"/>
    </row>
    <row r="134" ht="18" customHeight="1">
      <c r="B134" s="22"/>
    </row>
    <row r="135" ht="18" customHeight="1">
      <c r="B135" s="22"/>
    </row>
    <row r="136" spans="1:2" ht="18" customHeight="1">
      <c r="A136" s="51"/>
      <c r="B136" s="22"/>
    </row>
    <row r="137" ht="15.75" customHeight="1">
      <c r="B137" s="22"/>
    </row>
    <row r="138" ht="16.5" customHeight="1">
      <c r="B138" s="22"/>
    </row>
    <row r="139" ht="16.5" customHeight="1">
      <c r="B139" s="22"/>
    </row>
    <row r="140" spans="1:2" ht="16.5" customHeight="1">
      <c r="A140" s="51"/>
      <c r="B140" s="22"/>
    </row>
    <row r="141" ht="16.5" customHeight="1">
      <c r="B141" s="22"/>
    </row>
    <row r="142" ht="16.5" customHeight="1">
      <c r="B142" s="22"/>
    </row>
    <row r="143" ht="11.25" customHeight="1">
      <c r="B143" s="22"/>
    </row>
    <row r="144" spans="1:2" ht="16.5" customHeight="1">
      <c r="A144" s="51"/>
      <c r="B144" s="22"/>
    </row>
    <row r="145" ht="16.5" customHeight="1">
      <c r="B145" s="22"/>
    </row>
    <row r="146" ht="16.5" customHeight="1">
      <c r="B146" s="22"/>
    </row>
    <row r="147" ht="16.5" customHeight="1">
      <c r="B147" s="22"/>
    </row>
    <row r="148" ht="16.5" customHeight="1">
      <c r="B148" s="22"/>
    </row>
    <row r="149" ht="12.75">
      <c r="B149" s="22"/>
    </row>
    <row r="150" ht="12.75">
      <c r="B150" s="22"/>
    </row>
    <row r="151" ht="12.75">
      <c r="B151" s="22"/>
    </row>
    <row r="152" ht="12.75">
      <c r="B152" s="22"/>
    </row>
    <row r="153" ht="12.75">
      <c r="B153" s="22"/>
    </row>
    <row r="154" ht="12.75">
      <c r="B154" s="22"/>
    </row>
    <row r="155" ht="12.75">
      <c r="B155" s="22"/>
    </row>
    <row r="156" ht="12.75">
      <c r="B156" s="22"/>
    </row>
    <row r="157" ht="12.75">
      <c r="B157" s="22"/>
    </row>
    <row r="158" ht="12.75">
      <c r="B158" s="22"/>
    </row>
    <row r="159" ht="12.75">
      <c r="B159" s="60"/>
    </row>
    <row r="160" ht="12.75">
      <c r="B160" s="60"/>
    </row>
    <row r="161" ht="12.75">
      <c r="B161" s="60"/>
    </row>
    <row r="162" ht="12.75">
      <c r="B162" s="60"/>
    </row>
    <row r="163" ht="12.75">
      <c r="B163" s="60"/>
    </row>
    <row r="164" ht="12.75">
      <c r="B164" s="60"/>
    </row>
    <row r="165" ht="12.75">
      <c r="B165" s="60"/>
    </row>
    <row r="166" ht="12.75">
      <c r="B166" s="60"/>
    </row>
    <row r="167" ht="12.75">
      <c r="B167" s="60"/>
    </row>
    <row r="168" ht="12.75">
      <c r="B168" s="60"/>
    </row>
    <row r="169" ht="12.75">
      <c r="B169" s="60"/>
    </row>
  </sheetData>
  <sheetProtection/>
  <mergeCells count="3">
    <mergeCell ref="A1:B1"/>
    <mergeCell ref="C1:C2"/>
    <mergeCell ref="A2:B2"/>
  </mergeCells>
  <printOptions/>
  <pageMargins left="0.7480314960629921" right="0.6692913385826772" top="0.8267716535433072" bottom="0.4724409448818898" header="0.35433070866141736" footer="0.31496062992125984"/>
  <pageSetup fitToHeight="0" fitToWidth="1" horizontalDpi="600" verticalDpi="600" orientation="landscape" paperSize="9" scale="69" r:id="rId1"/>
  <headerFooter alignWithMargins="0">
    <oddHeader>&amp;C&amp;"Verdana,Grassetto"&amp;18RIPARTO SPESE C.D.D. TRA I COMUNI ADERENTI - ANNO 2020 &amp;"Verdana,Normale"&amp;10(Allegato a)&amp;"Verdana,Grassetto"&amp;18
</oddHeader>
  </headerFooter>
  <rowBreaks count="3" manualBreakCount="3">
    <brk id="45" max="5" man="1"/>
    <brk id="83" max="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F26" sqref="F26"/>
    </sheetView>
  </sheetViews>
  <sheetFormatPr defaultColWidth="18.7109375" defaultRowHeight="19.5" customHeight="1"/>
  <cols>
    <col min="1" max="1" width="18.7109375" style="1" customWidth="1"/>
    <col min="2" max="2" width="20.00390625" style="1" customWidth="1"/>
    <col min="3" max="4" width="18.7109375" style="1" customWidth="1"/>
    <col min="5" max="5" width="15.8515625" style="1" customWidth="1"/>
    <col min="6" max="6" width="19.00390625" style="1" bestFit="1" customWidth="1"/>
    <col min="7" max="7" width="22.00390625" style="1" customWidth="1"/>
    <col min="8" max="16384" width="18.7109375" style="1" customWidth="1"/>
  </cols>
  <sheetData>
    <row r="1" ht="19.5" customHeight="1">
      <c r="A1" s="1" t="s">
        <v>51</v>
      </c>
    </row>
    <row r="2" ht="19.5" customHeight="1">
      <c r="A2" s="7" t="s">
        <v>15</v>
      </c>
    </row>
    <row r="4" spans="1:4" ht="19.5" customHeight="1">
      <c r="A4" s="9"/>
      <c r="B4" s="32" t="s">
        <v>13</v>
      </c>
      <c r="C4" s="12" t="s">
        <v>14</v>
      </c>
      <c r="D4" s="12" t="s">
        <v>61</v>
      </c>
    </row>
    <row r="5" spans="1:6" ht="19.5" customHeight="1">
      <c r="A5" s="118" t="s">
        <v>16</v>
      </c>
      <c r="B5" s="112">
        <v>22500</v>
      </c>
      <c r="C5" s="112">
        <v>8800</v>
      </c>
      <c r="D5" s="110">
        <v>1100</v>
      </c>
      <c r="F5" s="7" t="s">
        <v>37</v>
      </c>
    </row>
    <row r="6" spans="1:6" ht="19.5" customHeight="1">
      <c r="A6" s="118" t="s">
        <v>17</v>
      </c>
      <c r="B6" s="112">
        <v>22500</v>
      </c>
      <c r="C6" s="112">
        <v>8800</v>
      </c>
      <c r="D6" s="110">
        <v>1100</v>
      </c>
      <c r="E6" s="8"/>
      <c r="F6" s="7" t="s">
        <v>73</v>
      </c>
    </row>
    <row r="7" spans="1:4" ht="19.5" customHeight="1">
      <c r="A7" s="118" t="s">
        <v>18</v>
      </c>
      <c r="B7" s="112">
        <v>22500</v>
      </c>
      <c r="C7" s="112">
        <v>8800</v>
      </c>
      <c r="D7" s="110">
        <v>1100</v>
      </c>
    </row>
    <row r="8" spans="1:7" ht="19.5" customHeight="1">
      <c r="A8" s="118" t="s">
        <v>19</v>
      </c>
      <c r="B8" s="112">
        <v>22500</v>
      </c>
      <c r="C8" s="112">
        <v>8800</v>
      </c>
      <c r="D8" s="110">
        <v>1100</v>
      </c>
      <c r="F8" s="10" t="s">
        <v>28</v>
      </c>
      <c r="G8" s="113">
        <v>235783</v>
      </c>
    </row>
    <row r="9" spans="1:7" ht="19.5" customHeight="1">
      <c r="A9" s="118" t="s">
        <v>20</v>
      </c>
      <c r="B9" s="112">
        <v>22500</v>
      </c>
      <c r="C9" s="112">
        <v>8800</v>
      </c>
      <c r="D9" s="110">
        <v>1100</v>
      </c>
      <c r="E9" s="8"/>
      <c r="F9" s="10" t="s">
        <v>29</v>
      </c>
      <c r="G9" s="113">
        <v>66310</v>
      </c>
    </row>
    <row r="10" spans="1:7" ht="19.5" customHeight="1">
      <c r="A10" s="118" t="s">
        <v>21</v>
      </c>
      <c r="B10" s="112">
        <v>22500</v>
      </c>
      <c r="C10" s="112">
        <v>8800</v>
      </c>
      <c r="D10" s="110">
        <v>1100</v>
      </c>
      <c r="E10" s="8"/>
      <c r="F10" s="10"/>
      <c r="G10" s="114">
        <f>SUM(G8:G9)</f>
        <v>302093</v>
      </c>
    </row>
    <row r="11" spans="1:7" ht="19.5" customHeight="1">
      <c r="A11" s="118" t="s">
        <v>22</v>
      </c>
      <c r="B11" s="112">
        <v>22500</v>
      </c>
      <c r="C11" s="112">
        <v>8800</v>
      </c>
      <c r="D11" s="110">
        <v>1100</v>
      </c>
      <c r="E11" s="8"/>
      <c r="G11" s="97"/>
    </row>
    <row r="12" spans="1:7" ht="19.5" customHeight="1">
      <c r="A12" s="118" t="s">
        <v>23</v>
      </c>
      <c r="B12" s="112">
        <v>22500</v>
      </c>
      <c r="C12" s="112">
        <v>8800</v>
      </c>
      <c r="D12" s="110">
        <v>1100</v>
      </c>
      <c r="F12" s="7" t="s">
        <v>38</v>
      </c>
      <c r="G12" s="97"/>
    </row>
    <row r="13" spans="1:7" ht="19.5" customHeight="1">
      <c r="A13" s="118" t="s">
        <v>24</v>
      </c>
      <c r="B13" s="112">
        <v>22500</v>
      </c>
      <c r="C13" s="112">
        <v>8800</v>
      </c>
      <c r="D13" s="110">
        <v>1100</v>
      </c>
      <c r="F13" s="7" t="s">
        <v>39</v>
      </c>
      <c r="G13" s="97"/>
    </row>
    <row r="14" spans="1:7" ht="19.5" customHeight="1">
      <c r="A14" s="118" t="s">
        <v>25</v>
      </c>
      <c r="B14" s="112">
        <v>22500</v>
      </c>
      <c r="C14" s="112">
        <v>8800</v>
      </c>
      <c r="D14" s="110">
        <v>1100</v>
      </c>
      <c r="G14" s="97"/>
    </row>
    <row r="15" spans="1:7" ht="19.5" customHeight="1">
      <c r="A15" s="118" t="s">
        <v>26</v>
      </c>
      <c r="B15" s="112">
        <v>22500</v>
      </c>
      <c r="C15" s="112">
        <v>8800</v>
      </c>
      <c r="D15" s="110">
        <v>1100</v>
      </c>
      <c r="E15" s="8"/>
      <c r="F15" s="15" t="s">
        <v>13</v>
      </c>
      <c r="G15" s="115">
        <f>G10/C20*B18</f>
        <v>209786.80555555556</v>
      </c>
    </row>
    <row r="16" spans="1:7" ht="19.5" customHeight="1">
      <c r="A16" s="118" t="s">
        <v>1</v>
      </c>
      <c r="B16" s="111">
        <f>SUM(B5:B15)</f>
        <v>247500</v>
      </c>
      <c r="C16" s="111">
        <f>SUM(C5:C15)</f>
        <v>96800</v>
      </c>
      <c r="D16" s="111">
        <f>SUM(D5:D15)</f>
        <v>12100</v>
      </c>
      <c r="E16" s="8"/>
      <c r="F16" s="16" t="s">
        <v>14</v>
      </c>
      <c r="G16" s="116">
        <f>G10/C20*C18</f>
        <v>82049.95061728395</v>
      </c>
    </row>
    <row r="17" spans="1:7" ht="19.5" customHeight="1">
      <c r="A17" s="118"/>
      <c r="B17" s="104"/>
      <c r="C17" s="104"/>
      <c r="D17" s="104"/>
      <c r="E17" s="8"/>
      <c r="F17" s="33" t="s">
        <v>61</v>
      </c>
      <c r="G17" s="116">
        <f>G10/C20*D18</f>
        <v>10256.243827160493</v>
      </c>
    </row>
    <row r="18" spans="1:7" ht="19.5" customHeight="1">
      <c r="A18" s="11" t="s">
        <v>27</v>
      </c>
      <c r="B18" s="37">
        <f>B16/11</f>
        <v>22500</v>
      </c>
      <c r="C18" s="37">
        <f>C16/11</f>
        <v>8800</v>
      </c>
      <c r="D18" s="37">
        <f>D16/11</f>
        <v>1100</v>
      </c>
      <c r="F18" s="10"/>
      <c r="G18" s="117">
        <f>SUM(G15:G17)</f>
        <v>302093</v>
      </c>
    </row>
    <row r="20" spans="1:6" ht="19.5" customHeight="1" thickBot="1">
      <c r="A20" s="13" t="s">
        <v>30</v>
      </c>
      <c r="B20" s="14"/>
      <c r="C20" s="38">
        <f>B18+C18+D18</f>
        <v>32400</v>
      </c>
      <c r="D20" s="31"/>
      <c r="F20" s="7" t="s">
        <v>31</v>
      </c>
    </row>
    <row r="21" ht="19.5" customHeight="1" thickBot="1">
      <c r="F21" s="46">
        <f>G10/C20</f>
        <v>9.323858024691358</v>
      </c>
    </row>
    <row r="22" spans="1:5" ht="19.5" customHeight="1">
      <c r="A22" s="1" t="s">
        <v>42</v>
      </c>
      <c r="B22" s="1" t="s">
        <v>45</v>
      </c>
      <c r="E22" s="1" t="s">
        <v>10</v>
      </c>
    </row>
    <row r="23" spans="1:2" ht="19.5" customHeight="1">
      <c r="A23" s="1" t="s">
        <v>43</v>
      </c>
      <c r="B23" s="1" t="s">
        <v>46</v>
      </c>
    </row>
    <row r="24" spans="1:8" ht="19.5" customHeight="1">
      <c r="A24" s="1" t="s">
        <v>44</v>
      </c>
      <c r="B24" s="1" t="s">
        <v>47</v>
      </c>
      <c r="D24" s="8"/>
      <c r="E24" s="96"/>
      <c r="F24" s="8"/>
      <c r="H24" s="8"/>
    </row>
    <row r="25" ht="19.5" customHeight="1">
      <c r="I25" s="8"/>
    </row>
  </sheetData>
  <sheetProtection/>
  <printOptions/>
  <pageMargins left="0.7480314960629921" right="0.7480314960629921" top="0.6299212598425197" bottom="0.6692913385826772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Seregno</dc:creator>
  <cp:keywords/>
  <dc:description/>
  <cp:lastModifiedBy>Antonia Sciotti</cp:lastModifiedBy>
  <cp:lastPrinted>2021-11-23T10:30:51Z</cp:lastPrinted>
  <dcterms:created xsi:type="dcterms:W3CDTF">2003-05-13T10:23:56Z</dcterms:created>
  <dcterms:modified xsi:type="dcterms:W3CDTF">2021-12-16T10:58:45Z</dcterms:modified>
  <cp:category/>
  <cp:version/>
  <cp:contentType/>
  <cp:contentStatus/>
</cp:coreProperties>
</file>